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8735" windowHeight="11310"/>
  </bookViews>
  <sheets>
    <sheet name="DT Set Asides " sheetId="6" r:id="rId1"/>
  </sheets>
  <definedNames>
    <definedName name="_xlnm.Print_Area" localSheetId="0">'DT Set Asides '!$A$1:$Q$46</definedName>
  </definedNames>
  <calcPr calcId="145621"/>
</workbook>
</file>

<file path=xl/calcChain.xml><?xml version="1.0" encoding="utf-8"?>
<calcChain xmlns="http://schemas.openxmlformats.org/spreadsheetml/2006/main">
  <c r="O21" i="6" l="1"/>
  <c r="O12" i="6"/>
  <c r="J10" i="6"/>
  <c r="J9" i="6"/>
  <c r="H9" i="6"/>
  <c r="O9" i="6"/>
  <c r="J11" i="6" l="1"/>
  <c r="E39" i="6" l="1"/>
  <c r="E38" i="6"/>
  <c r="E20" i="6"/>
  <c r="E19" i="6"/>
  <c r="H37" i="6" l="1"/>
  <c r="H10" i="6" l="1"/>
  <c r="E37" i="6" l="1"/>
  <c r="E18" i="6"/>
  <c r="E31" i="6" l="1"/>
  <c r="E30" i="6"/>
  <c r="E29" i="6"/>
  <c r="J37" i="6"/>
  <c r="H26" i="6"/>
  <c r="H16" i="6"/>
  <c r="G9" i="6" l="1"/>
  <c r="D39" i="6"/>
  <c r="D38" i="6"/>
  <c r="D37" i="6"/>
  <c r="C38" i="6"/>
  <c r="C39" i="6"/>
  <c r="C37" i="6"/>
  <c r="D31" i="6"/>
  <c r="D30" i="6"/>
  <c r="D29" i="6"/>
  <c r="C31" i="6"/>
  <c r="C30" i="6"/>
  <c r="C29" i="6"/>
  <c r="D20" i="6"/>
  <c r="D19" i="6"/>
  <c r="D18" i="6"/>
  <c r="C20" i="6"/>
  <c r="C19" i="6"/>
  <c r="C18" i="6"/>
  <c r="F31" i="6"/>
  <c r="F30" i="6"/>
  <c r="F29" i="6"/>
  <c r="F11" i="6"/>
  <c r="F10" i="6"/>
  <c r="F9" i="6"/>
  <c r="F18" i="6" l="1"/>
  <c r="M19" i="6" l="1"/>
  <c r="O41" i="6"/>
  <c r="H39" i="6"/>
  <c r="J39" i="6" s="1"/>
  <c r="H38" i="6"/>
  <c r="J38" i="6" s="1"/>
  <c r="E40" i="6"/>
  <c r="E21" i="6"/>
  <c r="E12" i="6"/>
  <c r="E32" i="6"/>
  <c r="I26" i="6"/>
  <c r="G29" i="6"/>
  <c r="H29" i="6" s="1"/>
  <c r="J29" i="6" s="1"/>
  <c r="O33" i="6"/>
  <c r="M18" i="6"/>
  <c r="L5" i="6"/>
  <c r="L7" i="6" s="1"/>
  <c r="M9" i="6"/>
  <c r="M10" i="6"/>
  <c r="K38" i="6"/>
  <c r="K37" i="6"/>
  <c r="M30" i="6"/>
  <c r="M29" i="6"/>
  <c r="H40" i="6" l="1"/>
  <c r="G30" i="6"/>
  <c r="H30" i="6" s="1"/>
  <c r="J30" i="6" s="1"/>
  <c r="F19" i="6"/>
  <c r="G19" i="6" s="1"/>
  <c r="H19" i="6" s="1"/>
  <c r="G11" i="6"/>
  <c r="H11" i="6" s="1"/>
  <c r="K39" i="6"/>
  <c r="K40" i="6" s="1"/>
  <c r="M20" i="6"/>
  <c r="F20" i="6"/>
  <c r="G20" i="6" s="1"/>
  <c r="H20" i="6" s="1"/>
  <c r="G31" i="6"/>
  <c r="H31" i="6" s="1"/>
  <c r="G10" i="6"/>
  <c r="G18" i="6"/>
  <c r="H18" i="6" s="1"/>
  <c r="M11" i="6"/>
  <c r="M12" i="6" s="1"/>
  <c r="M31" i="6"/>
  <c r="J20" i="6" l="1"/>
  <c r="J19" i="6"/>
  <c r="H32" i="6"/>
  <c r="J31" i="6"/>
  <c r="J32" i="6" s="1"/>
  <c r="H12" i="6"/>
  <c r="H21" i="6"/>
  <c r="I21" i="6" l="1"/>
  <c r="J18" i="6"/>
  <c r="J21" i="6" s="1"/>
  <c r="N12" i="6"/>
  <c r="I12" i="6"/>
  <c r="J12" i="6"/>
  <c r="I32" i="6"/>
  <c r="I40" i="6" l="1"/>
  <c r="J40" i="6"/>
  <c r="K42" i="6" l="1"/>
</calcChain>
</file>

<file path=xl/sharedStrings.xml><?xml version="1.0" encoding="utf-8"?>
<sst xmlns="http://schemas.openxmlformats.org/spreadsheetml/2006/main" count="108" uniqueCount="53">
  <si>
    <t>TERM</t>
  </si>
  <si>
    <t xml:space="preserve"> </t>
  </si>
  <si>
    <t>FIXED PERCENTAGE</t>
  </si>
  <si>
    <t>(input) SEMESTER CREDIT HOURS</t>
  </si>
  <si>
    <t>COMPUTED TOTAL</t>
  </si>
  <si>
    <t>(input) YEAR</t>
  </si>
  <si>
    <t>(input) RATE / SCH</t>
  </si>
  <si>
    <t>Designated Tuition Set-Asides</t>
  </si>
  <si>
    <t>Section 56.011</t>
  </si>
  <si>
    <t>Resident Undergraduate Student Assistance</t>
  </si>
  <si>
    <t>Less $46</t>
  </si>
  <si>
    <t>Section 56.012</t>
  </si>
  <si>
    <t>Resident Graduate Student Assistance</t>
  </si>
  <si>
    <t>Section 56.465</t>
  </si>
  <si>
    <t>Texas B-On-Time Student Loan Program</t>
  </si>
  <si>
    <t xml:space="preserve">The below amount added to the 15% above for UG </t>
  </si>
  <si>
    <t>makes up the total mandatory set aside requirement.</t>
  </si>
  <si>
    <t>Variance (Under)/ Over</t>
  </si>
  <si>
    <t>TOTAL BUDGET</t>
  </si>
  <si>
    <t>Financial Aid Set Aside Budget Reconciliation &amp; Transmittal Form  (B-On-Time)</t>
  </si>
  <si>
    <t>Adj Budget</t>
  </si>
  <si>
    <t>Date of Reconciliation:</t>
  </si>
  <si>
    <t>Acct#</t>
  </si>
  <si>
    <t>FIXED AMT / SCH</t>
  </si>
  <si>
    <t>Doc IDs</t>
  </si>
  <si>
    <t>Xfrs by Acctg</t>
  </si>
  <si>
    <t>Transfer Amt</t>
  </si>
  <si>
    <t xml:space="preserve">Section 56.095(b) </t>
  </si>
  <si>
    <t>Doctoral Incentive Loan Program</t>
  </si>
  <si>
    <t>Reconciled by:</t>
  </si>
  <si>
    <t>Acctg Transfer Amt to THECB</t>
  </si>
  <si>
    <t>FY 14</t>
  </si>
  <si>
    <t>FY14 Rate / SCH=</t>
  </si>
  <si>
    <t>FALL 2013</t>
  </si>
  <si>
    <t>SPG 2014</t>
  </si>
  <si>
    <t>SUM 2014</t>
  </si>
  <si>
    <t>Andrea Chavez</t>
  </si>
  <si>
    <t>Z3VJ1993260</t>
  </si>
  <si>
    <t>From Cynthia Schweers</t>
  </si>
  <si>
    <t>We Created</t>
  </si>
  <si>
    <t>13VJ1998201</t>
  </si>
  <si>
    <t>No Transfer</t>
  </si>
  <si>
    <t>From Cynthia Schweers sub acct -96</t>
  </si>
  <si>
    <t>DZX073</t>
  </si>
  <si>
    <t>DZX074</t>
  </si>
  <si>
    <t>DZX079</t>
  </si>
  <si>
    <t>DZX080</t>
  </si>
  <si>
    <t>DZX076</t>
  </si>
  <si>
    <t>Note - BASED ON CERTIFIED FALL 13 &amp; SPRING 14, EST SUMMER 14</t>
  </si>
  <si>
    <t>total variance from Orig Bud for DT Res UG Set Aside</t>
  </si>
  <si>
    <t>total variance from Orig Bud for DT Res Grad Set Aside</t>
  </si>
  <si>
    <t xml:space="preserve">Transfer Amt </t>
  </si>
  <si>
    <t>Accounting to process ACTUALS in PeopleSoft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</si>
</sst>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_([$$-409]* #,##0_);_([$$-409]* \(#,##0\);_([$$-409]* &quot;-&quot;??_);_(@_)"/>
    <numFmt numFmtId="168" formatCode="0.0%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28"/>
      <name val="Calibri"/>
      <family val="2"/>
    </font>
    <font>
      <b/>
      <sz val="14"/>
      <color indexed="28"/>
      <name val="Calibri"/>
      <family val="2"/>
    </font>
    <font>
      <b/>
      <u/>
      <sz val="14"/>
      <color indexed="28"/>
      <name val="Calibri"/>
      <family val="2"/>
    </font>
    <font>
      <b/>
      <sz val="11"/>
      <color indexed="28"/>
      <name val="Calibri"/>
      <family val="2"/>
    </font>
    <font>
      <b/>
      <sz val="16"/>
      <color indexed="28"/>
      <name val="Calibri"/>
      <family val="2"/>
    </font>
    <font>
      <sz val="9"/>
      <color indexed="28"/>
      <name val="Calibri"/>
      <family val="2"/>
    </font>
    <font>
      <b/>
      <i/>
      <sz val="11"/>
      <color indexed="28"/>
      <name val="Calibri"/>
      <family val="2"/>
    </font>
    <font>
      <i/>
      <sz val="11"/>
      <color indexed="28"/>
      <name val="Calibri"/>
      <family val="2"/>
    </font>
    <font>
      <sz val="10"/>
      <color indexed="28"/>
      <name val="Calibri"/>
      <family val="2"/>
    </font>
    <font>
      <sz val="11"/>
      <color indexed="56"/>
      <name val="Calibri"/>
      <family val="2"/>
    </font>
    <font>
      <sz val="11"/>
      <color indexed="12"/>
      <name val="Calibri"/>
      <family val="2"/>
    </font>
    <font>
      <b/>
      <sz val="16"/>
      <color indexed="36"/>
      <name val="Calibri"/>
      <family val="2"/>
    </font>
    <font>
      <b/>
      <sz val="12"/>
      <color indexed="28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2"/>
      <color rgb="FFFF000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color rgb="FFFF0000"/>
      <name val="Calibri"/>
      <family val="2"/>
    </font>
    <font>
      <b/>
      <sz val="10"/>
      <color indexed="2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0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0"/>
      </top>
      <bottom/>
      <diagonal/>
    </border>
    <border>
      <left/>
      <right style="medium">
        <color indexed="64"/>
      </right>
      <top style="double">
        <color indexed="6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2" borderId="0" xfId="0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6" fontId="2" fillId="2" borderId="1" xfId="2" applyNumberFormat="1" applyFont="1" applyFill="1" applyBorder="1"/>
    <xf numFmtId="166" fontId="2" fillId="2" borderId="1" xfId="0" applyNumberFormat="1" applyFont="1" applyFill="1" applyBorder="1" applyAlignment="1">
      <alignment horizontal="center"/>
    </xf>
    <xf numFmtId="166" fontId="2" fillId="2" borderId="1" xfId="2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166" fontId="2" fillId="0" borderId="0" xfId="2" applyNumberFormat="1" applyFont="1"/>
    <xf numFmtId="166" fontId="2" fillId="0" borderId="0" xfId="0" applyNumberFormat="1" applyFont="1"/>
    <xf numFmtId="168" fontId="2" fillId="0" borderId="0" xfId="3" applyNumberFormat="1" applyFont="1" applyBorder="1"/>
    <xf numFmtId="168" fontId="2" fillId="0" borderId="0" xfId="3" applyNumberFormat="1" applyFont="1"/>
    <xf numFmtId="167" fontId="2" fillId="2" borderId="1" xfId="2" applyNumberFormat="1" applyFont="1" applyFill="1" applyBorder="1"/>
    <xf numFmtId="6" fontId="2" fillId="2" borderId="0" xfId="0" applyNumberFormat="1" applyFont="1" applyFill="1" applyBorder="1"/>
    <xf numFmtId="9" fontId="2" fillId="0" borderId="0" xfId="3" applyFont="1" applyBorder="1"/>
    <xf numFmtId="9" fontId="2" fillId="0" borderId="0" xfId="3" applyFont="1"/>
    <xf numFmtId="166" fontId="2" fillId="0" borderId="0" xfId="3" applyNumberFormat="1" applyFont="1"/>
    <xf numFmtId="166" fontId="10" fillId="0" borderId="0" xfId="0" applyNumberFormat="1" applyFont="1"/>
    <xf numFmtId="0" fontId="11" fillId="0" borderId="0" xfId="0" applyFont="1"/>
    <xf numFmtId="44" fontId="2" fillId="0" borderId="0" xfId="0" applyNumberFormat="1" applyFont="1"/>
    <xf numFmtId="0" fontId="11" fillId="0" borderId="0" xfId="0" applyFont="1" applyAlignment="1">
      <alignment horizontal="left"/>
    </xf>
    <xf numFmtId="44" fontId="2" fillId="2" borderId="0" xfId="2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right"/>
    </xf>
    <xf numFmtId="44" fontId="2" fillId="2" borderId="8" xfId="2" applyFont="1" applyFill="1" applyBorder="1"/>
    <xf numFmtId="0" fontId="12" fillId="0" borderId="0" xfId="0" applyFont="1"/>
    <xf numFmtId="0" fontId="5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14" fillId="2" borderId="0" xfId="0" applyFont="1" applyFill="1" applyBorder="1" applyAlignment="1"/>
    <xf numFmtId="0" fontId="2" fillId="2" borderId="2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2" fillId="2" borderId="3" xfId="2" applyNumberFormat="1" applyFont="1" applyFill="1" applyBorder="1"/>
    <xf numFmtId="14" fontId="2" fillId="3" borderId="0" xfId="0" applyNumberFormat="1" applyFont="1" applyFill="1" applyBorder="1" applyAlignment="1">
      <alignment wrapText="1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wrapText="1"/>
    </xf>
    <xf numFmtId="0" fontId="6" fillId="3" borderId="9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left"/>
    </xf>
    <xf numFmtId="0" fontId="2" fillId="3" borderId="11" xfId="0" applyFont="1" applyFill="1" applyBorder="1"/>
    <xf numFmtId="0" fontId="2" fillId="3" borderId="12" xfId="0" applyFont="1" applyFill="1" applyBorder="1"/>
    <xf numFmtId="0" fontId="4" fillId="2" borderId="13" xfId="0" applyFont="1" applyFill="1" applyBorder="1"/>
    <xf numFmtId="0" fontId="2" fillId="2" borderId="14" xfId="0" applyFont="1" applyFill="1" applyBorder="1"/>
    <xf numFmtId="0" fontId="4" fillId="2" borderId="15" xfId="0" applyFont="1" applyFill="1" applyBorder="1"/>
    <xf numFmtId="0" fontId="2" fillId="2" borderId="16" xfId="0" applyFont="1" applyFill="1" applyBorder="1"/>
    <xf numFmtId="0" fontId="5" fillId="2" borderId="11" xfId="0" applyFont="1" applyFill="1" applyBorder="1"/>
    <xf numFmtId="0" fontId="16" fillId="2" borderId="12" xfId="0" applyFont="1" applyFill="1" applyBorder="1"/>
    <xf numFmtId="0" fontId="2" fillId="2" borderId="12" xfId="0" applyFont="1" applyFill="1" applyBorder="1"/>
    <xf numFmtId="0" fontId="7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/>
    </xf>
    <xf numFmtId="9" fontId="2" fillId="2" borderId="11" xfId="0" applyNumberFormat="1" applyFont="1" applyFill="1" applyBorder="1" applyAlignment="1">
      <alignment horizontal="center"/>
    </xf>
    <xf numFmtId="0" fontId="2" fillId="2" borderId="15" xfId="0" applyFont="1" applyFill="1" applyBorder="1"/>
    <xf numFmtId="0" fontId="3" fillId="2" borderId="9" xfId="0" applyFont="1" applyFill="1" applyBorder="1"/>
    <xf numFmtId="0" fontId="2" fillId="2" borderId="10" xfId="0" applyFont="1" applyFill="1" applyBorder="1"/>
    <xf numFmtId="0" fontId="8" fillId="2" borderId="11" xfId="0" applyFont="1" applyFill="1" applyBorder="1" applyAlignment="1">
      <alignment horizontal="left"/>
    </xf>
    <xf numFmtId="0" fontId="8" fillId="2" borderId="11" xfId="0" applyFont="1" applyFill="1" applyBorder="1"/>
    <xf numFmtId="0" fontId="2" fillId="2" borderId="16" xfId="0" applyFont="1" applyFill="1" applyBorder="1" applyAlignment="1">
      <alignment horizontal="right"/>
    </xf>
    <xf numFmtId="0" fontId="2" fillId="2" borderId="11" xfId="0" applyFont="1" applyFill="1" applyBorder="1"/>
    <xf numFmtId="0" fontId="5" fillId="2" borderId="11" xfId="0" applyFont="1" applyFill="1" applyBorder="1" applyAlignment="1"/>
    <xf numFmtId="6" fontId="2" fillId="2" borderId="1" xfId="0" applyNumberFormat="1" applyFont="1" applyFill="1" applyBorder="1" applyAlignment="1">
      <alignment horizontal="center"/>
    </xf>
    <xf numFmtId="166" fontId="2" fillId="2" borderId="10" xfId="2" applyNumberFormat="1" applyFont="1" applyFill="1" applyBorder="1"/>
    <xf numFmtId="0" fontId="5" fillId="3" borderId="11" xfId="0" applyFont="1" applyFill="1" applyBorder="1"/>
    <xf numFmtId="0" fontId="10" fillId="3" borderId="15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16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center"/>
    </xf>
    <xf numFmtId="0" fontId="19" fillId="0" borderId="0" xfId="0" applyFont="1"/>
    <xf numFmtId="44" fontId="19" fillId="0" borderId="0" xfId="0" applyNumberFormat="1" applyFont="1"/>
    <xf numFmtId="0" fontId="15" fillId="3" borderId="11" xfId="0" applyFont="1" applyFill="1" applyBorder="1" applyAlignment="1"/>
    <xf numFmtId="44" fontId="20" fillId="0" borderId="0" xfId="2" applyFont="1"/>
    <xf numFmtId="44" fontId="18" fillId="0" borderId="5" xfId="2" applyFont="1" applyBorder="1"/>
    <xf numFmtId="44" fontId="19" fillId="0" borderId="5" xfId="0" applyNumberFormat="1" applyFont="1" applyBorder="1"/>
    <xf numFmtId="44" fontId="2" fillId="2" borderId="1" xfId="0" applyNumberFormat="1" applyFont="1" applyFill="1" applyBorder="1" applyAlignment="1">
      <alignment horizontal="center"/>
    </xf>
    <xf numFmtId="44" fontId="2" fillId="2" borderId="1" xfId="2" applyNumberFormat="1" applyFont="1" applyFill="1" applyBorder="1"/>
    <xf numFmtId="166" fontId="20" fillId="0" borderId="0" xfId="0" applyNumberFormat="1" applyFont="1" applyFill="1" applyBorder="1" applyAlignment="1">
      <alignment horizontal="left"/>
    </xf>
    <xf numFmtId="44" fontId="10" fillId="0" borderId="0" xfId="0" applyNumberFormat="1" applyFont="1"/>
    <xf numFmtId="166" fontId="20" fillId="0" borderId="0" xfId="2" applyNumberFormat="1" applyFont="1" applyFill="1" applyBorder="1"/>
    <xf numFmtId="0" fontId="15" fillId="3" borderId="11" xfId="0" applyFont="1" applyFill="1" applyBorder="1" applyAlignment="1">
      <alignment horizontal="left" indent="4"/>
    </xf>
    <xf numFmtId="166" fontId="18" fillId="0" borderId="0" xfId="2" applyNumberFormat="1" applyFont="1"/>
    <xf numFmtId="44" fontId="2" fillId="2" borderId="1" xfId="2" applyFont="1" applyFill="1" applyBorder="1" applyAlignment="1">
      <alignment horizontal="center"/>
    </xf>
    <xf numFmtId="165" fontId="10" fillId="0" borderId="0" xfId="0" applyNumberFormat="1" applyFont="1"/>
    <xf numFmtId="2" fontId="10" fillId="0" borderId="0" xfId="0" applyNumberFormat="1" applyFont="1"/>
    <xf numFmtId="44" fontId="10" fillId="0" borderId="0" xfId="2" applyFont="1"/>
    <xf numFmtId="0" fontId="2" fillId="0" borderId="0" xfId="0" applyFont="1" applyAlignment="1">
      <alignment wrapText="1"/>
    </xf>
    <xf numFmtId="43" fontId="10" fillId="0" borderId="0" xfId="1" applyFont="1"/>
    <xf numFmtId="0" fontId="22" fillId="0" borderId="0" xfId="4" applyFont="1"/>
    <xf numFmtId="43" fontId="10" fillId="4" borderId="2" xfId="1" applyFont="1" applyFill="1" applyBorder="1"/>
    <xf numFmtId="0" fontId="2" fillId="4" borderId="0" xfId="0" applyFont="1" applyFill="1" applyAlignment="1">
      <alignment wrapText="1"/>
    </xf>
    <xf numFmtId="2" fontId="23" fillId="4" borderId="0" xfId="0" applyNumberFormat="1" applyFont="1" applyFill="1" applyAlignment="1">
      <alignment horizontal="center" wrapText="1"/>
    </xf>
    <xf numFmtId="2" fontId="24" fillId="4" borderId="0" xfId="0" applyNumberFormat="1" applyFont="1" applyFill="1" applyAlignment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Normal 3 2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abSelected="1" topLeftCell="G19" zoomScale="110" zoomScaleNormal="110" workbookViewId="0">
      <selection activeCell="R29" sqref="R29"/>
    </sheetView>
  </sheetViews>
  <sheetFormatPr defaultColWidth="9.140625" defaultRowHeight="15" x14ac:dyDescent="0.25"/>
  <cols>
    <col min="1" max="1" width="10.140625" style="1" customWidth="1"/>
    <col min="2" max="2" width="2.140625" style="1" customWidth="1"/>
    <col min="3" max="3" width="11" style="2" customWidth="1"/>
    <col min="4" max="4" width="11.85546875" style="2" customWidth="1"/>
    <col min="5" max="5" width="13.85546875" style="2" customWidth="1"/>
    <col min="6" max="6" width="10.140625" style="1" customWidth="1"/>
    <col min="7" max="7" width="14.28515625" style="1" bestFit="1" customWidth="1"/>
    <col min="8" max="8" width="13.5703125" style="1" customWidth="1"/>
    <col min="9" max="9" width="17.5703125" style="1" customWidth="1"/>
    <col min="10" max="10" width="17" style="1" customWidth="1"/>
    <col min="11" max="11" width="9.140625" style="33" hidden="1" customWidth="1"/>
    <col min="12" max="12" width="11.5703125" style="1" hidden="1" customWidth="1"/>
    <col min="13" max="13" width="9.140625" style="29" hidden="1" customWidth="1"/>
    <col min="14" max="14" width="11" style="1" hidden="1" customWidth="1"/>
    <col min="15" max="15" width="18.5703125" style="1" customWidth="1"/>
    <col min="16" max="16" width="15.5703125" style="1" customWidth="1"/>
    <col min="17" max="17" width="22.7109375" style="1" bestFit="1" customWidth="1"/>
    <col min="18" max="18" width="9.140625" style="1"/>
    <col min="19" max="19" width="15.85546875" style="1" bestFit="1" customWidth="1"/>
    <col min="20" max="16384" width="9.140625" style="1"/>
  </cols>
  <sheetData>
    <row r="1" spans="1:19" s="3" customFormat="1" ht="21" x14ac:dyDescent="0.4">
      <c r="A1" s="56" t="s">
        <v>19</v>
      </c>
      <c r="B1" s="57"/>
      <c r="C1" s="58"/>
      <c r="D1" s="58"/>
      <c r="E1" s="58"/>
      <c r="F1" s="57"/>
      <c r="G1" s="57"/>
      <c r="H1" s="57"/>
      <c r="I1" s="57"/>
      <c r="J1" s="59" t="s">
        <v>31</v>
      </c>
      <c r="K1" s="32"/>
      <c r="M1" s="28"/>
    </row>
    <row r="2" spans="1:19" s="3" customFormat="1" ht="1.5" customHeight="1" thickBot="1" x14ac:dyDescent="0.35">
      <c r="A2" s="60"/>
      <c r="B2" s="16"/>
      <c r="C2" s="17"/>
      <c r="D2" s="17"/>
      <c r="E2" s="17"/>
      <c r="F2" s="16"/>
      <c r="G2" s="16"/>
      <c r="H2" s="16"/>
      <c r="I2" s="16"/>
      <c r="J2" s="61"/>
      <c r="K2" s="32"/>
      <c r="M2" s="28"/>
    </row>
    <row r="3" spans="1:19" ht="18.600000000000001" thickTop="1" x14ac:dyDescent="0.35">
      <c r="A3" s="62" t="s">
        <v>7</v>
      </c>
      <c r="B3" s="24"/>
      <c r="C3" s="25"/>
      <c r="D3" s="25"/>
      <c r="E3" s="25"/>
      <c r="F3" s="24"/>
      <c r="G3" s="24"/>
      <c r="H3" s="24"/>
      <c r="I3" s="24"/>
      <c r="J3" s="63"/>
    </row>
    <row r="4" spans="1:19" ht="9" customHeight="1" thickBot="1" x14ac:dyDescent="0.4">
      <c r="A4" s="64"/>
      <c r="B4" s="9"/>
      <c r="C4" s="48"/>
      <c r="D4" s="48"/>
      <c r="E4" s="48"/>
      <c r="F4" s="9"/>
      <c r="G4" s="9"/>
      <c r="H4" s="9"/>
      <c r="I4" s="9"/>
      <c r="J4" s="65"/>
    </row>
    <row r="5" spans="1:19" ht="15.6" x14ac:dyDescent="0.3">
      <c r="A5" s="66" t="s">
        <v>8</v>
      </c>
      <c r="B5" s="14"/>
      <c r="C5" s="15"/>
      <c r="D5" s="45" t="s">
        <v>9</v>
      </c>
      <c r="E5" s="15"/>
      <c r="F5" s="4"/>
      <c r="G5" s="4"/>
      <c r="H5" s="4"/>
      <c r="I5" s="11" t="s">
        <v>22</v>
      </c>
      <c r="J5" s="67" t="s">
        <v>43</v>
      </c>
      <c r="L5" s="26">
        <f>5268000-146531</f>
        <v>5121469</v>
      </c>
      <c r="O5" s="26"/>
    </row>
    <row r="6" spans="1:19" ht="16.149999999999999" thickBot="1" x14ac:dyDescent="0.35">
      <c r="A6" s="66"/>
      <c r="B6" s="14"/>
      <c r="C6" s="15"/>
      <c r="D6" s="15"/>
      <c r="E6" s="15"/>
      <c r="F6" s="4"/>
      <c r="G6" s="4" t="s">
        <v>1</v>
      </c>
      <c r="H6" s="11" t="s">
        <v>1</v>
      </c>
      <c r="I6" s="39" t="s">
        <v>1</v>
      </c>
      <c r="J6" s="67" t="s">
        <v>44</v>
      </c>
      <c r="L6" s="26">
        <v>700000</v>
      </c>
      <c r="O6" s="26"/>
    </row>
    <row r="7" spans="1:19" thickBot="1" x14ac:dyDescent="0.35">
      <c r="A7" s="66"/>
      <c r="B7" s="14"/>
      <c r="C7" s="15"/>
      <c r="D7" s="15"/>
      <c r="E7" s="15"/>
      <c r="F7" s="4"/>
      <c r="G7" s="40"/>
      <c r="H7" s="41" t="s">
        <v>32</v>
      </c>
      <c r="I7" s="42">
        <v>149.41</v>
      </c>
      <c r="J7" s="68"/>
      <c r="L7" s="27">
        <f>SUM(L5:L6)</f>
        <v>5821469</v>
      </c>
      <c r="M7" s="29" t="s">
        <v>18</v>
      </c>
      <c r="O7" s="27"/>
    </row>
    <row r="8" spans="1:19" ht="48.75" customHeight="1" thickBot="1" x14ac:dyDescent="0.35">
      <c r="A8" s="69" t="s">
        <v>2</v>
      </c>
      <c r="B8" s="12"/>
      <c r="C8" s="13" t="s">
        <v>0</v>
      </c>
      <c r="D8" s="13" t="s">
        <v>5</v>
      </c>
      <c r="E8" s="13" t="s">
        <v>3</v>
      </c>
      <c r="F8" s="13" t="s">
        <v>6</v>
      </c>
      <c r="G8" s="13" t="s">
        <v>10</v>
      </c>
      <c r="H8" s="13" t="s">
        <v>4</v>
      </c>
      <c r="I8" s="13" t="s">
        <v>20</v>
      </c>
      <c r="J8" s="70" t="s">
        <v>17</v>
      </c>
      <c r="O8" s="1" t="s">
        <v>51</v>
      </c>
      <c r="P8" s="1" t="s">
        <v>24</v>
      </c>
    </row>
    <row r="9" spans="1:19" thickBot="1" x14ac:dyDescent="0.35">
      <c r="A9" s="71">
        <v>0.15</v>
      </c>
      <c r="B9" s="4"/>
      <c r="C9" s="5" t="s">
        <v>33</v>
      </c>
      <c r="D9" s="5" t="s">
        <v>31</v>
      </c>
      <c r="E9" s="18">
        <v>277221</v>
      </c>
      <c r="F9" s="6">
        <f>I7</f>
        <v>149.41</v>
      </c>
      <c r="G9" s="6">
        <f>F9-46</f>
        <v>103.41</v>
      </c>
      <c r="H9" s="19">
        <f>ROUND(G9*A9*E9,0)</f>
        <v>4300114</v>
      </c>
      <c r="I9" s="21">
        <v>4300114</v>
      </c>
      <c r="J9" s="20">
        <f>I9-H9</f>
        <v>0</v>
      </c>
      <c r="M9" s="29">
        <f>E9/(E9+E10+E11)</f>
        <v>0.48200276800244807</v>
      </c>
      <c r="O9" s="108">
        <f>-530632</f>
        <v>-530632</v>
      </c>
      <c r="P9" s="106" t="s">
        <v>37</v>
      </c>
      <c r="S9" s="37"/>
    </row>
    <row r="10" spans="1:19" ht="15.75" thickBot="1" x14ac:dyDescent="0.3">
      <c r="A10" s="71">
        <v>0.15</v>
      </c>
      <c r="B10" s="4"/>
      <c r="C10" s="5" t="s">
        <v>34</v>
      </c>
      <c r="D10" s="5" t="s">
        <v>31</v>
      </c>
      <c r="E10" s="18">
        <v>249195</v>
      </c>
      <c r="F10" s="6">
        <f>I7</f>
        <v>149.41</v>
      </c>
      <c r="G10" s="6">
        <f>F10-46</f>
        <v>103.41</v>
      </c>
      <c r="H10" s="19">
        <f>ROUND(G10*A10*E10,0)</f>
        <v>3865388</v>
      </c>
      <c r="I10" s="21">
        <v>3865388</v>
      </c>
      <c r="J10" s="20">
        <f>I10-H10</f>
        <v>0</v>
      </c>
      <c r="M10" s="29">
        <f>E10/(E9+E10+E11)</f>
        <v>0.4332741017901604</v>
      </c>
      <c r="O10" s="110">
        <v>-115763</v>
      </c>
      <c r="P10" s="107" t="s">
        <v>40</v>
      </c>
    </row>
    <row r="11" spans="1:19" ht="33" customHeight="1" thickBot="1" x14ac:dyDescent="0.3">
      <c r="A11" s="71">
        <v>0.15</v>
      </c>
      <c r="B11" s="4"/>
      <c r="C11" s="5" t="s">
        <v>35</v>
      </c>
      <c r="D11" s="5" t="s">
        <v>31</v>
      </c>
      <c r="E11" s="18">
        <v>48728</v>
      </c>
      <c r="F11" s="6">
        <f>I7</f>
        <v>149.41</v>
      </c>
      <c r="G11" s="6">
        <f>F11-46</f>
        <v>103.41</v>
      </c>
      <c r="H11" s="19">
        <f t="shared" ref="H11" si="0">ROUND(G11*A11*E11,0)</f>
        <v>755844</v>
      </c>
      <c r="I11" s="21">
        <v>755844</v>
      </c>
      <c r="J11" s="20">
        <f>I11-H11</f>
        <v>0</v>
      </c>
      <c r="M11" s="29">
        <f>1-M10-M9</f>
        <v>8.4723130207391473E-2</v>
      </c>
      <c r="O11" s="112">
        <v>-2854</v>
      </c>
      <c r="P11" s="114" t="s">
        <v>52</v>
      </c>
      <c r="Q11" s="115"/>
    </row>
    <row r="12" spans="1:19" ht="15.75" thickBot="1" x14ac:dyDescent="0.3">
      <c r="A12" s="72"/>
      <c r="B12" s="4"/>
      <c r="C12" s="7"/>
      <c r="D12" s="7"/>
      <c r="E12" s="50">
        <f>SUM(E9:E11)</f>
        <v>575144</v>
      </c>
      <c r="F12" s="8"/>
      <c r="G12" s="4"/>
      <c r="H12" s="19">
        <f>SUM(H9:H11)</f>
        <v>8921346</v>
      </c>
      <c r="I12" s="19">
        <f>SUM(I9:I11)</f>
        <v>8921346</v>
      </c>
      <c r="J12" s="19">
        <f>SUM(J9:J11)</f>
        <v>0</v>
      </c>
      <c r="M12" s="29">
        <f>SUM(M9:M11)</f>
        <v>1</v>
      </c>
      <c r="N12" s="35">
        <f>I9+I10+I11</f>
        <v>8921346</v>
      </c>
      <c r="O12" s="101">
        <f>SUM(O9:O11)</f>
        <v>-649249</v>
      </c>
      <c r="P12" s="111" t="s">
        <v>49</v>
      </c>
    </row>
    <row r="13" spans="1:19" ht="9" customHeight="1" thickBot="1" x14ac:dyDescent="0.35">
      <c r="A13" s="73"/>
      <c r="B13" s="9"/>
      <c r="C13" s="9"/>
      <c r="D13" s="9"/>
      <c r="E13" s="9"/>
      <c r="F13" s="9"/>
      <c r="G13" s="9"/>
      <c r="H13" s="9"/>
      <c r="I13" s="9"/>
      <c r="J13" s="65"/>
    </row>
    <row r="14" spans="1:19" ht="9" customHeight="1" x14ac:dyDescent="0.35">
      <c r="A14" s="74" t="s">
        <v>1</v>
      </c>
      <c r="B14" s="10"/>
      <c r="C14" s="22"/>
      <c r="D14" s="22"/>
      <c r="E14" s="22"/>
      <c r="F14" s="10"/>
      <c r="G14" s="10"/>
      <c r="H14" s="10"/>
      <c r="I14" s="10"/>
      <c r="J14" s="75"/>
    </row>
    <row r="15" spans="1:19" ht="16.149999999999999" thickBot="1" x14ac:dyDescent="0.35">
      <c r="A15" s="66" t="s">
        <v>11</v>
      </c>
      <c r="B15" s="14"/>
      <c r="C15" s="15"/>
      <c r="D15" s="45" t="s">
        <v>12</v>
      </c>
      <c r="E15" s="15"/>
      <c r="F15" s="4"/>
      <c r="G15" s="4"/>
      <c r="H15" s="4"/>
      <c r="I15" s="11" t="s">
        <v>22</v>
      </c>
      <c r="J15" s="67" t="s">
        <v>45</v>
      </c>
      <c r="L15" s="26">
        <v>438885</v>
      </c>
    </row>
    <row r="16" spans="1:19" thickBot="1" x14ac:dyDescent="0.35">
      <c r="A16" s="66"/>
      <c r="B16" s="14"/>
      <c r="C16" s="15"/>
      <c r="D16" s="15"/>
      <c r="E16" s="15"/>
      <c r="F16" s="4"/>
      <c r="G16" s="40"/>
      <c r="H16" s="41" t="str">
        <f>H7</f>
        <v>FY14 Rate / SCH=</v>
      </c>
      <c r="I16" s="42">
        <v>159.5</v>
      </c>
      <c r="J16" s="68"/>
    </row>
    <row r="17" spans="1:17" ht="43.9" thickBot="1" x14ac:dyDescent="0.35">
      <c r="A17" s="69" t="s">
        <v>2</v>
      </c>
      <c r="B17" s="12"/>
      <c r="C17" s="13" t="s">
        <v>0</v>
      </c>
      <c r="D17" s="13" t="s">
        <v>5</v>
      </c>
      <c r="E17" s="13" t="s">
        <v>3</v>
      </c>
      <c r="F17" s="13" t="s">
        <v>6</v>
      </c>
      <c r="G17" s="13" t="s">
        <v>10</v>
      </c>
      <c r="H17" s="13" t="s">
        <v>4</v>
      </c>
      <c r="I17" s="13" t="s">
        <v>20</v>
      </c>
      <c r="J17" s="70" t="s">
        <v>17</v>
      </c>
      <c r="O17" s="1" t="s">
        <v>26</v>
      </c>
      <c r="P17" s="1" t="s">
        <v>24</v>
      </c>
      <c r="Q17" s="1" t="s">
        <v>39</v>
      </c>
    </row>
    <row r="18" spans="1:17" thickBot="1" x14ac:dyDescent="0.35">
      <c r="A18" s="71">
        <v>0.15</v>
      </c>
      <c r="B18" s="4"/>
      <c r="C18" s="5" t="str">
        <f>C9</f>
        <v>FALL 2013</v>
      </c>
      <c r="D18" s="5" t="str">
        <f>D9</f>
        <v>FY 14</v>
      </c>
      <c r="E18" s="18">
        <f>20510+5172</f>
        <v>25682</v>
      </c>
      <c r="F18" s="6">
        <f>$I$16</f>
        <v>159.5</v>
      </c>
      <c r="G18" s="6">
        <f>F18-46</f>
        <v>113.5</v>
      </c>
      <c r="H18" s="30">
        <f>ROUND(G18*E18*A18,0)</f>
        <v>437236</v>
      </c>
      <c r="I18" s="105">
        <v>437236</v>
      </c>
      <c r="J18" s="20">
        <f>I18-H18</f>
        <v>0</v>
      </c>
      <c r="M18" s="29">
        <f>E18/(E18+E19+E20)</f>
        <v>0.43066758338503847</v>
      </c>
      <c r="O18" s="108">
        <v>-4103</v>
      </c>
      <c r="P18" s="106" t="s">
        <v>37</v>
      </c>
    </row>
    <row r="19" spans="1:17" thickBot="1" x14ac:dyDescent="0.35">
      <c r="A19" s="71">
        <v>0.15</v>
      </c>
      <c r="B19" s="4"/>
      <c r="C19" s="5" t="str">
        <f>C10</f>
        <v>SPG 2014</v>
      </c>
      <c r="D19" s="5" t="str">
        <f>D9</f>
        <v>FY 14</v>
      </c>
      <c r="E19" s="18">
        <f>19923+4806</f>
        <v>24729</v>
      </c>
      <c r="F19" s="6">
        <f>$I$16</f>
        <v>159.5</v>
      </c>
      <c r="G19" s="6">
        <f>F19-46</f>
        <v>113.5</v>
      </c>
      <c r="H19" s="30">
        <f t="shared" ref="H19:H20" si="1">ROUND(G19*E19*A19,0)</f>
        <v>421011</v>
      </c>
      <c r="I19" s="105">
        <v>421011</v>
      </c>
      <c r="J19" s="20">
        <f>I19-H19</f>
        <v>0</v>
      </c>
      <c r="M19" s="29">
        <f>E19/(E18+E19+E20)</f>
        <v>0.41468649908607652</v>
      </c>
      <c r="O19" s="110">
        <v>-7117</v>
      </c>
      <c r="P19" s="107" t="s">
        <v>40</v>
      </c>
    </row>
    <row r="20" spans="1:17" ht="27" customHeight="1" thickBot="1" x14ac:dyDescent="0.3">
      <c r="A20" s="71">
        <v>0.15</v>
      </c>
      <c r="B20" s="4"/>
      <c r="C20" s="5" t="str">
        <f>C11</f>
        <v>SUM 2014</v>
      </c>
      <c r="D20" s="5" t="str">
        <f>D9</f>
        <v>FY 14</v>
      </c>
      <c r="E20" s="18">
        <f>7605+1617</f>
        <v>9222</v>
      </c>
      <c r="F20" s="6">
        <f>$I$16</f>
        <v>159.5</v>
      </c>
      <c r="G20" s="6">
        <f>F20-46</f>
        <v>113.5</v>
      </c>
      <c r="H20" s="30">
        <f t="shared" si="1"/>
        <v>157005</v>
      </c>
      <c r="I20" s="105">
        <v>157005</v>
      </c>
      <c r="J20" s="20">
        <f>I20-H20</f>
        <v>0</v>
      </c>
      <c r="M20" s="29">
        <f>1-M19-M18</f>
        <v>0.15464591752888496</v>
      </c>
      <c r="O20" s="112">
        <v>-16208</v>
      </c>
      <c r="P20" s="114" t="s">
        <v>52</v>
      </c>
      <c r="Q20" s="115"/>
    </row>
    <row r="21" spans="1:17" thickBot="1" x14ac:dyDescent="0.35">
      <c r="A21" s="72"/>
      <c r="B21" s="4"/>
      <c r="C21" s="7"/>
      <c r="D21" s="7"/>
      <c r="E21" s="50">
        <f>SUM(E18:E20)</f>
        <v>59633</v>
      </c>
      <c r="F21" s="8"/>
      <c r="G21" s="4"/>
      <c r="H21" s="30">
        <f>SUM(H18:H20)</f>
        <v>1015252</v>
      </c>
      <c r="I21" s="19">
        <f>SUM(I18:I20)</f>
        <v>1015252</v>
      </c>
      <c r="J21" s="19">
        <f>SUM(J18:J20)</f>
        <v>0</v>
      </c>
      <c r="O21" s="101">
        <f>SUM(O18:O20)</f>
        <v>-27428</v>
      </c>
      <c r="P21" s="111" t="s">
        <v>50</v>
      </c>
    </row>
    <row r="22" spans="1:17" ht="9" customHeight="1" thickBot="1" x14ac:dyDescent="0.35">
      <c r="A22" s="73"/>
      <c r="B22" s="9"/>
      <c r="C22" s="9"/>
      <c r="D22" s="9"/>
      <c r="E22" s="9"/>
      <c r="F22" s="9"/>
      <c r="G22" s="9"/>
      <c r="H22" s="9"/>
      <c r="I22" s="9"/>
      <c r="J22" s="65"/>
    </row>
    <row r="23" spans="1:17" ht="9" customHeight="1" x14ac:dyDescent="0.35">
      <c r="A23" s="74" t="s">
        <v>1</v>
      </c>
      <c r="B23" s="10"/>
      <c r="C23" s="22"/>
      <c r="D23" s="22"/>
      <c r="E23" s="22"/>
      <c r="F23" s="10"/>
      <c r="G23" s="10"/>
      <c r="H23" s="10"/>
      <c r="I23" s="10"/>
      <c r="J23" s="75"/>
    </row>
    <row r="24" spans="1:17" ht="15.6" x14ac:dyDescent="0.3">
      <c r="A24" s="66" t="s">
        <v>13</v>
      </c>
      <c r="B24" s="14"/>
      <c r="C24" s="7"/>
      <c r="D24" s="45" t="s">
        <v>14</v>
      </c>
      <c r="E24" s="15"/>
      <c r="F24" s="4"/>
      <c r="G24" s="4"/>
      <c r="H24" s="4"/>
      <c r="I24" s="11" t="s">
        <v>22</v>
      </c>
      <c r="J24" s="67" t="s">
        <v>47</v>
      </c>
    </row>
    <row r="25" spans="1:17" thickBot="1" x14ac:dyDescent="0.35">
      <c r="A25" s="76" t="s">
        <v>15</v>
      </c>
      <c r="B25" s="44"/>
      <c r="C25" s="44"/>
      <c r="D25" s="44"/>
      <c r="E25" s="44"/>
      <c r="F25" s="23"/>
      <c r="G25" s="4" t="s">
        <v>1</v>
      </c>
      <c r="H25" s="11" t="s">
        <v>1</v>
      </c>
      <c r="I25" s="39" t="s">
        <v>1</v>
      </c>
      <c r="J25" s="68"/>
      <c r="Q25" s="38" t="s">
        <v>1</v>
      </c>
    </row>
    <row r="26" spans="1:17" thickBot="1" x14ac:dyDescent="0.35">
      <c r="A26" s="77" t="s">
        <v>16</v>
      </c>
      <c r="B26" s="14"/>
      <c r="C26" s="15"/>
      <c r="D26" s="15"/>
      <c r="E26" s="15"/>
      <c r="F26" s="4"/>
      <c r="G26" s="40"/>
      <c r="H26" s="41" t="str">
        <f>H7</f>
        <v>FY14 Rate / SCH=</v>
      </c>
      <c r="I26" s="42">
        <f>+I7</f>
        <v>149.41</v>
      </c>
      <c r="J26" s="68"/>
    </row>
    <row r="27" spans="1:17" ht="7.5" customHeight="1" x14ac:dyDescent="0.3">
      <c r="A27" s="66"/>
      <c r="B27" s="4"/>
      <c r="C27" s="7"/>
      <c r="D27" s="7"/>
      <c r="E27" s="7"/>
      <c r="F27" s="4"/>
      <c r="G27" s="4"/>
      <c r="H27" s="11"/>
      <c r="I27" s="39"/>
      <c r="J27" s="68"/>
    </row>
    <row r="28" spans="1:17" ht="45.75" thickBot="1" x14ac:dyDescent="0.3">
      <c r="A28" s="69" t="s">
        <v>2</v>
      </c>
      <c r="B28" s="12"/>
      <c r="C28" s="13" t="s">
        <v>0</v>
      </c>
      <c r="D28" s="13" t="s">
        <v>5</v>
      </c>
      <c r="E28" s="13" t="s">
        <v>3</v>
      </c>
      <c r="F28" s="13" t="s">
        <v>6</v>
      </c>
      <c r="G28" s="13" t="s">
        <v>10</v>
      </c>
      <c r="H28" s="13" t="s">
        <v>4</v>
      </c>
      <c r="I28" s="13" t="s">
        <v>25</v>
      </c>
      <c r="J28" s="70" t="s">
        <v>17</v>
      </c>
      <c r="O28" s="113" t="s">
        <v>30</v>
      </c>
      <c r="P28" s="1" t="s">
        <v>24</v>
      </c>
      <c r="Q28" s="109" t="s">
        <v>42</v>
      </c>
    </row>
    <row r="29" spans="1:17" ht="15" customHeight="1" thickBot="1" x14ac:dyDescent="0.35">
      <c r="A29" s="71">
        <v>0.05</v>
      </c>
      <c r="B29" s="4"/>
      <c r="C29" s="5" t="str">
        <f>C9</f>
        <v>FALL 2013</v>
      </c>
      <c r="D29" s="5" t="str">
        <f>D9</f>
        <v>FY 14</v>
      </c>
      <c r="E29" s="18">
        <f>E9</f>
        <v>277221</v>
      </c>
      <c r="F29" s="6">
        <f>I26</f>
        <v>149.41</v>
      </c>
      <c r="G29" s="6">
        <f>F29-46</f>
        <v>103.41</v>
      </c>
      <c r="H29" s="19">
        <f>ROUND(G29*A29*E29,0)</f>
        <v>1433371</v>
      </c>
      <c r="I29" s="20">
        <v>0</v>
      </c>
      <c r="J29" s="20">
        <f>I29-H29</f>
        <v>-1433371</v>
      </c>
      <c r="M29" s="29">
        <f>E29/(E29+E30+E31)</f>
        <v>0.48200276800244807</v>
      </c>
      <c r="O29" s="100" t="s">
        <v>41</v>
      </c>
      <c r="P29" s="106"/>
    </row>
    <row r="30" spans="1:17" ht="15" customHeight="1" thickBot="1" x14ac:dyDescent="0.35">
      <c r="A30" s="71">
        <v>0.05</v>
      </c>
      <c r="B30" s="4"/>
      <c r="C30" s="5" t="str">
        <f>C10</f>
        <v>SPG 2014</v>
      </c>
      <c r="D30" s="5" t="str">
        <f>D9</f>
        <v>FY 14</v>
      </c>
      <c r="E30" s="18">
        <f>E10</f>
        <v>249195</v>
      </c>
      <c r="F30" s="6">
        <f>I26</f>
        <v>149.41</v>
      </c>
      <c r="G30" s="6">
        <f>F30-46</f>
        <v>103.41</v>
      </c>
      <c r="H30" s="19">
        <f t="shared" ref="H30:H31" si="2">ROUND(G30*A30*E30,0)</f>
        <v>1288463</v>
      </c>
      <c r="I30" s="20">
        <v>0</v>
      </c>
      <c r="J30" s="20">
        <f>I30-H30</f>
        <v>-1288463</v>
      </c>
      <c r="M30" s="29">
        <f>E30/(E29+E30+E31)</f>
        <v>0.4332741017901604</v>
      </c>
      <c r="O30" s="104"/>
      <c r="P30" s="92"/>
    </row>
    <row r="31" spans="1:17" ht="15" customHeight="1" thickBot="1" x14ac:dyDescent="0.35">
      <c r="A31" s="71">
        <v>0.05</v>
      </c>
      <c r="B31" s="4"/>
      <c r="C31" s="5" t="str">
        <f>C11</f>
        <v>SUM 2014</v>
      </c>
      <c r="D31" s="5" t="str">
        <f>D9</f>
        <v>FY 14</v>
      </c>
      <c r="E31" s="18">
        <f>E11</f>
        <v>48728</v>
      </c>
      <c r="F31" s="6">
        <f>I26</f>
        <v>149.41</v>
      </c>
      <c r="G31" s="6">
        <f>F31-46</f>
        <v>103.41</v>
      </c>
      <c r="H31" s="19">
        <f t="shared" si="2"/>
        <v>251948</v>
      </c>
      <c r="I31" s="98">
        <v>0</v>
      </c>
      <c r="J31" s="20">
        <f>I31-H31</f>
        <v>-251948</v>
      </c>
      <c r="M31" s="29">
        <f>1-M30-M29</f>
        <v>8.4723130207391473E-2</v>
      </c>
      <c r="O31" s="95"/>
      <c r="P31" s="92"/>
    </row>
    <row r="32" spans="1:17" ht="15" customHeight="1" thickBot="1" x14ac:dyDescent="0.3">
      <c r="A32" s="72"/>
      <c r="B32" s="4"/>
      <c r="C32" s="7"/>
      <c r="D32" s="7"/>
      <c r="E32" s="50">
        <f>SUM(E29:E31)</f>
        <v>575144</v>
      </c>
      <c r="F32" s="8"/>
      <c r="G32" s="4"/>
      <c r="H32" s="19">
        <f>SUM(H29:H31)</f>
        <v>2973782</v>
      </c>
      <c r="I32" s="99">
        <f>SUM(I29:I31)</f>
        <v>0</v>
      </c>
      <c r="J32" s="19">
        <f>SUM(J29:J31)</f>
        <v>-2973782</v>
      </c>
      <c r="O32" s="96"/>
      <c r="P32" s="92"/>
    </row>
    <row r="33" spans="1:17" ht="15" customHeight="1" thickBot="1" x14ac:dyDescent="0.3">
      <c r="A33" s="73"/>
      <c r="B33" s="9"/>
      <c r="C33" s="9"/>
      <c r="D33" s="9"/>
      <c r="E33" s="9"/>
      <c r="F33" s="9"/>
      <c r="G33" s="9"/>
      <c r="H33" s="9"/>
      <c r="I33" s="9"/>
      <c r="J33" s="78" t="s">
        <v>1</v>
      </c>
      <c r="O33" s="101">
        <f>SUM(O29:O32)</f>
        <v>0</v>
      </c>
    </row>
    <row r="34" spans="1:17" ht="9" customHeight="1" x14ac:dyDescent="0.25">
      <c r="A34" s="79"/>
      <c r="B34" s="4"/>
      <c r="C34" s="7"/>
      <c r="D34" s="7"/>
      <c r="E34" s="7"/>
      <c r="F34" s="4"/>
      <c r="G34" s="4"/>
      <c r="H34" s="4"/>
      <c r="I34" s="4"/>
      <c r="J34" s="68"/>
      <c r="P34" s="36"/>
    </row>
    <row r="35" spans="1:17" ht="15" customHeight="1" x14ac:dyDescent="0.25">
      <c r="A35" s="80" t="s">
        <v>27</v>
      </c>
      <c r="B35" s="46"/>
      <c r="C35" s="46"/>
      <c r="D35" s="47" t="s">
        <v>28</v>
      </c>
      <c r="E35" s="46"/>
      <c r="F35" s="46"/>
      <c r="G35" s="46"/>
      <c r="H35" s="31" t="s">
        <v>1</v>
      </c>
      <c r="I35" s="11" t="s">
        <v>22</v>
      </c>
      <c r="J35" s="67" t="s">
        <v>46</v>
      </c>
      <c r="O35" s="37"/>
    </row>
    <row r="36" spans="1:17" ht="46.5" customHeight="1" thickBot="1" x14ac:dyDescent="0.3">
      <c r="A36" s="69" t="s">
        <v>23</v>
      </c>
      <c r="B36" s="12"/>
      <c r="C36" s="13" t="s">
        <v>0</v>
      </c>
      <c r="D36" s="13" t="s">
        <v>5</v>
      </c>
      <c r="E36" s="13" t="s">
        <v>3</v>
      </c>
      <c r="F36" s="13" t="s">
        <v>1</v>
      </c>
      <c r="G36" s="13" t="s">
        <v>1</v>
      </c>
      <c r="H36" s="13" t="s">
        <v>4</v>
      </c>
      <c r="I36" s="13" t="s">
        <v>25</v>
      </c>
      <c r="J36" s="70" t="s">
        <v>17</v>
      </c>
      <c r="O36" s="113" t="s">
        <v>30</v>
      </c>
      <c r="P36" s="1" t="s">
        <v>24</v>
      </c>
      <c r="Q36" s="1" t="s">
        <v>38</v>
      </c>
    </row>
    <row r="37" spans="1:17" ht="15" customHeight="1" thickBot="1" x14ac:dyDescent="0.3">
      <c r="A37" s="81">
        <v>2</v>
      </c>
      <c r="B37" s="4"/>
      <c r="C37" s="5" t="str">
        <f>C9</f>
        <v>FALL 2013</v>
      </c>
      <c r="D37" s="5" t="str">
        <f>D9</f>
        <v>FY 14</v>
      </c>
      <c r="E37" s="18">
        <f>5172+80</f>
        <v>5252</v>
      </c>
      <c r="F37" s="6" t="s">
        <v>1</v>
      </c>
      <c r="G37" s="6" t="s">
        <v>1</v>
      </c>
      <c r="H37" s="19">
        <f>A37*E37</f>
        <v>10504</v>
      </c>
      <c r="I37" s="105">
        <v>0</v>
      </c>
      <c r="J37" s="20">
        <f>I37-H37</f>
        <v>-10504</v>
      </c>
      <c r="K37" s="33">
        <f>E37/(E37+E38+E39)</f>
        <v>0.44436923597597089</v>
      </c>
      <c r="O37" s="102" t="s">
        <v>41</v>
      </c>
      <c r="P37" s="106"/>
      <c r="Q37" s="43"/>
    </row>
    <row r="38" spans="1:17" ht="15" customHeight="1" thickBot="1" x14ac:dyDescent="0.3">
      <c r="A38" s="81">
        <v>2</v>
      </c>
      <c r="B38" s="4"/>
      <c r="C38" s="5" t="str">
        <f>C10</f>
        <v>SPG 2014</v>
      </c>
      <c r="D38" s="5" t="str">
        <f>D9</f>
        <v>FY 14</v>
      </c>
      <c r="E38" s="18">
        <f>4806+130</f>
        <v>4936</v>
      </c>
      <c r="F38" s="6" t="s">
        <v>1</v>
      </c>
      <c r="G38" s="6" t="s">
        <v>1</v>
      </c>
      <c r="H38" s="19">
        <f>A38*E38</f>
        <v>9872</v>
      </c>
      <c r="I38" s="20">
        <v>0</v>
      </c>
      <c r="J38" s="20">
        <f>I38-H38</f>
        <v>-9872</v>
      </c>
      <c r="K38" s="33">
        <f>E38/(E37+E38+E39)</f>
        <v>0.41763262543362384</v>
      </c>
      <c r="O38" s="93"/>
      <c r="P38" s="92"/>
    </row>
    <row r="39" spans="1:17" ht="15" customHeight="1" thickBot="1" x14ac:dyDescent="0.3">
      <c r="A39" s="81">
        <v>2</v>
      </c>
      <c r="B39" s="4"/>
      <c r="C39" s="5" t="str">
        <f>C20</f>
        <v>SUM 2014</v>
      </c>
      <c r="D39" s="5" t="str">
        <f>D9</f>
        <v>FY 14</v>
      </c>
      <c r="E39" s="18">
        <f>1617+14</f>
        <v>1631</v>
      </c>
      <c r="F39" s="6" t="s">
        <v>1</v>
      </c>
      <c r="G39" s="6" t="s">
        <v>1</v>
      </c>
      <c r="H39" s="19">
        <f>A39*E39</f>
        <v>3262</v>
      </c>
      <c r="I39" s="20"/>
      <c r="J39" s="20">
        <f>I39-H39</f>
        <v>-3262</v>
      </c>
      <c r="K39" s="33">
        <f>1-K38-K37</f>
        <v>0.13799813859040533</v>
      </c>
      <c r="O39" s="93"/>
      <c r="P39" s="92"/>
    </row>
    <row r="40" spans="1:17" ht="15.75" thickBot="1" x14ac:dyDescent="0.3">
      <c r="A40" s="72"/>
      <c r="B40" s="4"/>
      <c r="C40" s="7"/>
      <c r="D40" s="7"/>
      <c r="E40" s="50">
        <f>SUM(E37:E39)</f>
        <v>11819</v>
      </c>
      <c r="F40" s="8"/>
      <c r="G40" s="4"/>
      <c r="H40" s="19">
        <f>SUM(H37:H39)</f>
        <v>23638</v>
      </c>
      <c r="I40" s="99">
        <f>SUM(I37:I39)</f>
        <v>0</v>
      </c>
      <c r="J40" s="19">
        <f>SUM(J37:J39)</f>
        <v>-23638</v>
      </c>
      <c r="K40" s="33">
        <f>SUM(K37:K39)</f>
        <v>1</v>
      </c>
      <c r="O40" s="97"/>
      <c r="P40" s="92"/>
    </row>
    <row r="41" spans="1:17" x14ac:dyDescent="0.25">
      <c r="A41" s="72"/>
      <c r="B41" s="4"/>
      <c r="C41" s="7"/>
      <c r="D41" s="7"/>
      <c r="E41" s="49"/>
      <c r="F41" s="8"/>
      <c r="G41" s="4"/>
      <c r="H41" s="51"/>
      <c r="I41" s="51"/>
      <c r="J41" s="82"/>
      <c r="O41" s="101">
        <f>SUM(O37:O40)</f>
        <v>0</v>
      </c>
      <c r="P41"/>
    </row>
    <row r="42" spans="1:17" ht="15.75" x14ac:dyDescent="0.25">
      <c r="A42" s="94" t="s">
        <v>48</v>
      </c>
      <c r="B42" s="16"/>
      <c r="C42" s="16"/>
      <c r="D42" s="52"/>
      <c r="E42" s="17"/>
      <c r="F42" s="16"/>
      <c r="G42" s="16"/>
      <c r="H42" s="88"/>
      <c r="I42" s="88"/>
      <c r="J42" s="89"/>
      <c r="K42" s="34">
        <f>I39+I38+I37</f>
        <v>0</v>
      </c>
    </row>
    <row r="43" spans="1:17" ht="15.75" x14ac:dyDescent="0.25">
      <c r="A43" s="103"/>
      <c r="B43" s="16"/>
      <c r="C43" s="16"/>
      <c r="D43" s="52"/>
      <c r="E43" s="17"/>
      <c r="F43" s="16"/>
      <c r="G43" s="16"/>
      <c r="H43" s="88"/>
      <c r="I43" s="88"/>
      <c r="J43" s="89"/>
      <c r="K43" s="34"/>
      <c r="O43" s="37"/>
    </row>
    <row r="44" spans="1:17" ht="16.5" thickBot="1" x14ac:dyDescent="0.3">
      <c r="A44" s="103"/>
      <c r="B44" s="16"/>
      <c r="C44" s="16"/>
      <c r="D44" s="52"/>
      <c r="E44" s="17"/>
      <c r="F44" s="16"/>
      <c r="G44" s="16"/>
      <c r="H44" s="88"/>
      <c r="I44" s="88"/>
      <c r="J44" s="89"/>
      <c r="K44" s="34"/>
      <c r="O44" s="37"/>
    </row>
    <row r="45" spans="1:17" ht="16.5" customHeight="1" thickBot="1" x14ac:dyDescent="0.3">
      <c r="A45" s="83" t="s">
        <v>21</v>
      </c>
      <c r="B45" s="53"/>
      <c r="C45" s="54"/>
      <c r="D45" s="55">
        <v>41877</v>
      </c>
      <c r="E45" s="90"/>
      <c r="F45" s="90"/>
      <c r="G45" s="90"/>
      <c r="H45" s="90"/>
      <c r="I45" s="91"/>
      <c r="J45" s="89"/>
      <c r="O45" s="37"/>
    </row>
    <row r="46" spans="1:17" ht="15.75" thickBot="1" x14ac:dyDescent="0.3">
      <c r="A46" s="84" t="s">
        <v>29</v>
      </c>
      <c r="B46" s="85"/>
      <c r="C46" s="86" t="s">
        <v>36</v>
      </c>
      <c r="D46" s="86"/>
      <c r="E46" s="86"/>
      <c r="F46" s="85"/>
      <c r="G46" s="85"/>
      <c r="H46" s="85"/>
      <c r="I46" s="85"/>
      <c r="J46" s="87"/>
    </row>
  </sheetData>
  <mergeCells count="2">
    <mergeCell ref="P11:Q11"/>
    <mergeCell ref="P20:Q20"/>
  </mergeCells>
  <phoneticPr fontId="0" type="noConversion"/>
  <printOptions horizontalCentered="1"/>
  <pageMargins left="0.25" right="0.25" top="0.25" bottom="0.5" header="0.3" footer="0.25"/>
  <pageSetup scale="72" orientation="landscape" r:id="rId1"/>
  <headerFooter>
    <oddHeader>&amp;R&amp;D</oddHeader>
    <oddFooter>&amp;L&amp;A&amp;F&amp;R&amp;9&amp;Z&amp;F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DT Set Asides </vt:lpstr>
      <vt:lpstr>'DT Set Asides '!Print_Area</vt:lpstr>
    </vt:vector>
  </TitlesOfParts>
  <Company>University of TX @ San Antonio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UTSA</dc:creator>
  <cp:lastModifiedBy>utsa</cp:lastModifiedBy>
  <cp:lastPrinted>2013-08-06T17:47:08Z</cp:lastPrinted>
  <dcterms:created xsi:type="dcterms:W3CDTF">2009-07-26T18:36:30Z</dcterms:created>
  <dcterms:modified xsi:type="dcterms:W3CDTF">2014-08-26T23:49:53Z</dcterms:modified>
</cp:coreProperties>
</file>